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ylor/Desktop/"/>
    </mc:Choice>
  </mc:AlternateContent>
  <xr:revisionPtr revIDLastSave="0" documentId="13_ncr:1_{2C9A81C4-9165-F34F-AB10-D5ED38DC3511}" xr6:coauthVersionLast="47" xr6:coauthVersionMax="47" xr10:uidLastSave="{00000000-0000-0000-0000-000000000000}"/>
  <bookViews>
    <workbookView xWindow="1220" yWindow="3620" windowWidth="34440" windowHeight="203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81" i="1" l="1"/>
  <c r="K67" i="1"/>
  <c r="M56" i="1"/>
  <c r="M57" i="1"/>
  <c r="M58" i="1"/>
  <c r="K58" i="1"/>
  <c r="K57" i="1"/>
  <c r="K56" i="1"/>
  <c r="M55" i="1"/>
  <c r="K15" i="1" l="1"/>
  <c r="P58" i="1"/>
  <c r="P57" i="1"/>
  <c r="P56" i="1"/>
  <c r="M67" i="1"/>
  <c r="K70" i="1"/>
  <c r="M70" i="1" s="1"/>
  <c r="K61" i="1"/>
  <c r="K62" i="1"/>
  <c r="K63" i="1"/>
  <c r="K64" i="1"/>
  <c r="K65" i="1"/>
  <c r="K54" i="1"/>
  <c r="K55" i="1"/>
  <c r="P55" i="1" s="1"/>
  <c r="K11" i="1"/>
  <c r="M11" i="1" s="1"/>
  <c r="K9" i="1"/>
  <c r="M9" i="1" l="1"/>
  <c r="P9" i="1" s="1"/>
  <c r="M15" i="1"/>
  <c r="P15" i="1" s="1"/>
  <c r="K66" i="1"/>
  <c r="M66" i="1" s="1"/>
  <c r="P66" i="1" s="1"/>
  <c r="K31" i="1"/>
  <c r="M31" i="1" s="1"/>
  <c r="P31" i="1" s="1"/>
  <c r="P80" i="1"/>
  <c r="K73" i="1" l="1"/>
  <c r="M73" i="1" s="1"/>
  <c r="P73" i="1" s="1"/>
  <c r="K76" i="1"/>
  <c r="M76" i="1" s="1"/>
  <c r="P76" i="1" s="1"/>
  <c r="K85" i="1"/>
  <c r="M85" i="1" s="1"/>
  <c r="P85" i="1" s="1"/>
  <c r="K20" i="1"/>
  <c r="K22" i="1"/>
  <c r="M22" i="1" s="1"/>
  <c r="P22" i="1" s="1"/>
  <c r="K23" i="1"/>
  <c r="K25" i="1"/>
  <c r="M25" i="1" s="1"/>
  <c r="P25" i="1" s="1"/>
  <c r="K26" i="1"/>
  <c r="K27" i="1"/>
  <c r="K28" i="1"/>
  <c r="K29" i="1"/>
  <c r="M29" i="1" s="1"/>
  <c r="P29" i="1" s="1"/>
  <c r="K30" i="1"/>
  <c r="M30" i="1" s="1"/>
  <c r="P30" i="1" s="1"/>
  <c r="K32" i="1"/>
  <c r="K33" i="1"/>
  <c r="K34" i="1"/>
  <c r="K35" i="1"/>
  <c r="M35" i="1" s="1"/>
  <c r="P35" i="1" s="1"/>
  <c r="K36" i="1"/>
  <c r="K37" i="1"/>
  <c r="M37" i="1" s="1"/>
  <c r="P37" i="1" s="1"/>
  <c r="K38" i="1"/>
  <c r="K39" i="1"/>
  <c r="M39" i="1" s="1"/>
  <c r="P39" i="1" s="1"/>
  <c r="K40" i="1"/>
  <c r="K41" i="1"/>
  <c r="K42" i="1"/>
  <c r="K43" i="1"/>
  <c r="M43" i="1" s="1"/>
  <c r="P43" i="1" s="1"/>
  <c r="K44" i="1"/>
  <c r="M44" i="1" s="1"/>
  <c r="P44" i="1" s="1"/>
  <c r="K45" i="1"/>
  <c r="M45" i="1" s="1"/>
  <c r="P45" i="1" s="1"/>
  <c r="K46" i="1"/>
  <c r="K47" i="1"/>
  <c r="M47" i="1" s="1"/>
  <c r="P47" i="1" s="1"/>
  <c r="K48" i="1"/>
  <c r="M48" i="1" s="1"/>
  <c r="P48" i="1" s="1"/>
  <c r="K49" i="1"/>
  <c r="M49" i="1" s="1"/>
  <c r="P49" i="1" s="1"/>
  <c r="K50" i="1"/>
  <c r="M50" i="1" s="1"/>
  <c r="P50" i="1" s="1"/>
  <c r="K51" i="1"/>
  <c r="M51" i="1" s="1"/>
  <c r="P51" i="1" s="1"/>
  <c r="K52" i="1"/>
  <c r="M52" i="1" s="1"/>
  <c r="P52" i="1" s="1"/>
  <c r="K53" i="1"/>
  <c r="M53" i="1" s="1"/>
  <c r="P53" i="1" s="1"/>
  <c r="M54" i="1"/>
  <c r="P54" i="1" s="1"/>
  <c r="M26" i="1"/>
  <c r="P26" i="1" s="1"/>
  <c r="M32" i="1"/>
  <c r="P32" i="1" s="1"/>
  <c r="K19" i="1"/>
  <c r="M19" i="1" s="1"/>
  <c r="P19" i="1" s="1"/>
  <c r="M62" i="1"/>
  <c r="P62" i="1" s="1"/>
  <c r="M63" i="1"/>
  <c r="P63" i="1" s="1"/>
  <c r="K8" i="1"/>
  <c r="M8" i="1" s="1"/>
  <c r="K10" i="1"/>
  <c r="P11" i="1"/>
  <c r="K12" i="1"/>
  <c r="M12" i="1" s="1"/>
  <c r="K13" i="1"/>
  <c r="K14" i="1"/>
  <c r="K16" i="1"/>
  <c r="M16" i="1" l="1"/>
  <c r="P16" i="1" s="1"/>
  <c r="M14" i="1"/>
  <c r="P14" i="1" s="1"/>
  <c r="M10" i="1"/>
  <c r="P10" i="1" s="1"/>
  <c r="M13" i="1"/>
  <c r="P13" i="1" s="1"/>
  <c r="M81" i="1"/>
  <c r="P81" i="1" s="1"/>
  <c r="M40" i="1"/>
  <c r="P40" i="1" s="1"/>
  <c r="M41" i="1"/>
  <c r="P41" i="1" s="1"/>
  <c r="M33" i="1"/>
  <c r="P33" i="1" s="1"/>
  <c r="M27" i="1"/>
  <c r="P27" i="1" s="1"/>
  <c r="M20" i="1"/>
  <c r="P20" i="1" s="1"/>
  <c r="M36" i="1"/>
  <c r="P36" i="1" s="1"/>
  <c r="M46" i="1"/>
  <c r="P46" i="1" s="1"/>
  <c r="M42" i="1"/>
  <c r="P42" i="1" s="1"/>
  <c r="M38" i="1"/>
  <c r="P38" i="1" s="1"/>
  <c r="M34" i="1"/>
  <c r="P34" i="1" s="1"/>
  <c r="M28" i="1"/>
  <c r="P28" i="1" s="1"/>
  <c r="M23" i="1"/>
  <c r="P23" i="1" s="1"/>
  <c r="P12" i="1"/>
  <c r="M65" i="1"/>
  <c r="P65" i="1" s="1"/>
  <c r="P8" i="1"/>
  <c r="M64" i="1"/>
  <c r="P64" i="1" s="1"/>
  <c r="M61" i="1"/>
  <c r="P61" i="1" s="1"/>
  <c r="P86" i="1" l="1"/>
</calcChain>
</file>

<file path=xl/sharedStrings.xml><?xml version="1.0" encoding="utf-8"?>
<sst xmlns="http://schemas.openxmlformats.org/spreadsheetml/2006/main" count="161" uniqueCount="122">
  <si>
    <t>Mouser part number</t>
  </si>
  <si>
    <t>ea</t>
  </si>
  <si>
    <t xml:space="preserve">description </t>
  </si>
  <si>
    <t>extended price</t>
  </si>
  <si>
    <t>Semiconductors</t>
  </si>
  <si>
    <t>621-1N5817</t>
  </si>
  <si>
    <t xml:space="preserve">schottky diode </t>
  </si>
  <si>
    <t>512-1N4148TR</t>
  </si>
  <si>
    <t>silicon diode</t>
  </si>
  <si>
    <t>583-2N4401-T</t>
  </si>
  <si>
    <t>NPN BJT</t>
  </si>
  <si>
    <t>512-2N4403TAR</t>
  </si>
  <si>
    <t>PNP BJT</t>
  </si>
  <si>
    <t>512-1N5227B</t>
  </si>
  <si>
    <t>3.6 volt zener diode</t>
  </si>
  <si>
    <t>821-TS358CDC3G</t>
  </si>
  <si>
    <t>Dual OPAMP</t>
  </si>
  <si>
    <t>Resistors</t>
  </si>
  <si>
    <t>270-68-RC</t>
  </si>
  <si>
    <t>1/8W metal film resistor</t>
  </si>
  <si>
    <t>270-82-RC</t>
  </si>
  <si>
    <t>270-100-RC</t>
  </si>
  <si>
    <t>270-150-RC</t>
  </si>
  <si>
    <t>270-220-RC</t>
  </si>
  <si>
    <t>270-270-RC</t>
  </si>
  <si>
    <t>270-390-RC</t>
  </si>
  <si>
    <t>270-470-RC</t>
  </si>
  <si>
    <t>270-820-RC</t>
  </si>
  <si>
    <t>270-1K-RC</t>
  </si>
  <si>
    <t>270-2.2K-RC</t>
  </si>
  <si>
    <t>270-1.5K-RC</t>
  </si>
  <si>
    <t>270-2.7K-RC</t>
  </si>
  <si>
    <t>270-3.3K-RC</t>
  </si>
  <si>
    <t>270-4.7K-RC</t>
  </si>
  <si>
    <t>270-5.6K-RC</t>
  </si>
  <si>
    <t>270-8.2K-RC</t>
  </si>
  <si>
    <t>270-10K-RC</t>
  </si>
  <si>
    <t>270-15K-RC</t>
  </si>
  <si>
    <t>270-22K-RC</t>
  </si>
  <si>
    <t>270-27K-RC</t>
  </si>
  <si>
    <t>270-33K-RC</t>
  </si>
  <si>
    <t>270-47K-RC</t>
  </si>
  <si>
    <t>270-56K-RC</t>
  </si>
  <si>
    <t>270-82K-RC</t>
  </si>
  <si>
    <t>270-100K-RC</t>
  </si>
  <si>
    <t>270-150K-RC</t>
  </si>
  <si>
    <t>270-220K-RC</t>
  </si>
  <si>
    <t>270-470K-RC</t>
  </si>
  <si>
    <t>270-1.0M-RC</t>
  </si>
  <si>
    <t>Capacitors</t>
  </si>
  <si>
    <t xml:space="preserve">598-105CKE100M </t>
  </si>
  <si>
    <t>1uf, 100v electrolytic cap</t>
  </si>
  <si>
    <t xml:space="preserve">710-860020472003 </t>
  </si>
  <si>
    <t>10uf, 25V electrolytic cap</t>
  </si>
  <si>
    <t>80-C315C272K5R</t>
  </si>
  <si>
    <t>2700pf, X7R, 10% ceramic capacitor</t>
  </si>
  <si>
    <t>594-K104M15X7RF53H5</t>
  </si>
  <si>
    <t>0.1uf, X7R, 20% ceramic capacitor</t>
  </si>
  <si>
    <t>Miscellaneous</t>
  </si>
  <si>
    <t>50pcs, Double sided PCB, .062, 4x3”</t>
  </si>
  <si>
    <t>www.adafruit.com/product/1008?gclid=EAIaIQobChMIhLPZtY3_8gIVzj6tBh21WwJAEAQYASABEgLSLfD_BwE</t>
  </si>
  <si>
    <t>KE1103-ND</t>
  </si>
  <si>
    <t xml:space="preserve">Kester 44, RA, 24AWG 63/37, 1Lb </t>
  </si>
  <si>
    <t>2156-TPQ3904-ND</t>
  </si>
  <si>
    <t>quad NPN transistor array, DIP-14</t>
  </si>
  <si>
    <t>www.nordisco.com/products/roaring-spring-77255-quad-ruled-composition-notebook-9-3/4-x-7-1/2-100-sheets</t>
  </si>
  <si>
    <t>R2A77255</t>
  </si>
  <si>
    <t>total</t>
  </si>
  <si>
    <t>270-1.2K-RC</t>
  </si>
  <si>
    <t>enrollment</t>
  </si>
  <si>
    <t>parts per lab</t>
  </si>
  <si>
    <t>lab1</t>
  </si>
  <si>
    <t>lab2</t>
  </si>
  <si>
    <t>lab3</t>
  </si>
  <si>
    <t>lab4</t>
  </si>
  <si>
    <t>lab5</t>
  </si>
  <si>
    <t>lab6</t>
  </si>
  <si>
    <t>lab7</t>
  </si>
  <si>
    <t>lab3b</t>
  </si>
  <si>
    <t>270-10-RC</t>
  </si>
  <si>
    <t>270-22-RC</t>
  </si>
  <si>
    <t>in stock</t>
  </si>
  <si>
    <t>to order</t>
  </si>
  <si>
    <r>
      <t xml:space="preserve">White LED </t>
    </r>
    <r>
      <rPr>
        <b/>
        <sz val="10"/>
        <rFont val="Courier New"/>
        <family val="1"/>
      </rPr>
      <t>(</t>
    </r>
    <r>
      <rPr>
        <b/>
        <sz val="10"/>
        <color rgb="FFFF0000"/>
        <rFont val="Courier New"/>
        <family val="1"/>
      </rPr>
      <t>source: superbright LEDs</t>
    </r>
    <r>
      <rPr>
        <b/>
        <sz val="10"/>
        <rFont val="Courier New"/>
        <family val="1"/>
      </rPr>
      <t>)</t>
    </r>
  </si>
  <si>
    <t>include 10% extra for damage, lost parts, etc.</t>
  </si>
  <si>
    <t>raw qty reqd</t>
  </si>
  <si>
    <t>small alligator clip test leads, sets of 12</t>
  </si>
  <si>
    <t>270-510-RC</t>
  </si>
  <si>
    <t>Sourced by Digi-Key</t>
  </si>
  <si>
    <t>Sourced by Adafruit</t>
  </si>
  <si>
    <t xml:space="preserve">Sourced by nordisco, lab notebook, 100 sheets, 9.75x7.5, quad ruled 5x5 </t>
  </si>
  <si>
    <t>"to order" refers to # of sets of 50 boards</t>
  </si>
  <si>
    <t>"to order" refers to # of packs that holds a set of 12</t>
  </si>
  <si>
    <t xml:space="preserve">603-FCR1WSJT-52-100R </t>
  </si>
  <si>
    <t>1W metal film resistor</t>
  </si>
  <si>
    <t>ECE341 W24 Lab parts v1.0, 12.12.2023</t>
  </si>
  <si>
    <t>1000uF, 25V electrolytic cap</t>
  </si>
  <si>
    <t xml:space="preserve">80-ESK108M025AH4AA </t>
  </si>
  <si>
    <t>1A silicon diode</t>
  </si>
  <si>
    <t>821-1N4007GH</t>
  </si>
  <si>
    <t>Transformer</t>
  </si>
  <si>
    <t>Jameco 100061</t>
  </si>
  <si>
    <t>9VAC, 500mA, transformer</t>
  </si>
  <si>
    <t>647-QYX1H103JTP3TA</t>
  </si>
  <si>
    <t>708-RNF18FTD10K0</t>
  </si>
  <si>
    <t>71-RN55D1504F/R</t>
  </si>
  <si>
    <t>71-RN55D-F-360K</t>
  </si>
  <si>
    <t>579-MCP6284-E/P</t>
  </si>
  <si>
    <t>Quad, R2R, OPAMP</t>
  </si>
  <si>
    <t>594-2222-021-36101</t>
  </si>
  <si>
    <t>100uf, 25V electrolytic cap</t>
  </si>
  <si>
    <t>0.01uF, film, 5%, 50V</t>
  </si>
  <si>
    <t>270-24-RC</t>
  </si>
  <si>
    <t>270-91-RC</t>
  </si>
  <si>
    <t>100uF at 6.3V, qty 68</t>
  </si>
  <si>
    <t>Extras found in box</t>
  </si>
  <si>
    <t>10K, 1%, 1/8W, RNF</t>
  </si>
  <si>
    <t>1.5Meg, 1%, 1/8W, RN55</t>
  </si>
  <si>
    <t>360K, 1%, 1/8W, RN55</t>
  </si>
  <si>
    <t>https://www.amazon.com/Double-Sided-Copper-Laminate-Circuit/dp/B01LZVMIBN</t>
  </si>
  <si>
    <t>Sourced by Amazon</t>
  </si>
  <si>
    <t>RL5-W4575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</si>
</sst>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34" x14ac:knownFonts="1">
    <font>
      <sz val="10"/>
      <name val="Arial"/>
      <family val="2"/>
      <charset val="1"/>
    </font>
    <font>
      <b/>
      <sz val="14"/>
      <name val="Courier New"/>
      <family val="3"/>
      <charset val="1"/>
    </font>
    <font>
      <b/>
      <sz val="12"/>
      <color rgb="FFFF0000"/>
      <name val="Arial"/>
      <family val="2"/>
      <charset val="1"/>
    </font>
    <font>
      <b/>
      <sz val="12"/>
      <color rgb="FF2A6099"/>
      <name val="Courier New"/>
      <family val="3"/>
      <charset val="1"/>
    </font>
    <font>
      <b/>
      <sz val="12"/>
      <color rgb="FF2A6099"/>
      <name val="Arial"/>
      <family val="2"/>
      <charset val="1"/>
    </font>
    <font>
      <b/>
      <sz val="10"/>
      <color rgb="FF2A6099"/>
      <name val="Arial"/>
      <family val="2"/>
      <charset val="1"/>
    </font>
    <font>
      <b/>
      <sz val="10"/>
      <color rgb="FF0A1106"/>
      <name val="Courier New"/>
      <family val="3"/>
      <charset val="1"/>
    </font>
    <font>
      <b/>
      <sz val="10"/>
      <name val="Courier New"/>
      <family val="3"/>
      <charset val="1"/>
    </font>
    <font>
      <b/>
      <sz val="11"/>
      <color rgb="FF0A1106"/>
      <name val="Courier New"/>
      <family val="3"/>
      <charset val="1"/>
    </font>
    <font>
      <b/>
      <sz val="10"/>
      <color rgb="FF0000FF"/>
      <name val="Courier New"/>
      <family val="3"/>
      <charset val="1"/>
    </font>
    <font>
      <b/>
      <sz val="10"/>
      <color rgb="FF2A6099"/>
      <name val="Courier New"/>
      <family val="3"/>
      <charset val="1"/>
    </font>
    <font>
      <sz val="10"/>
      <color rgb="FF000000"/>
      <name val="Arial"/>
      <family val="2"/>
    </font>
    <font>
      <b/>
      <sz val="10"/>
      <name val="Courier New"/>
      <family val="3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"/>
    </font>
    <font>
      <b/>
      <sz val="14"/>
      <name val="Courier New"/>
      <family val="1"/>
    </font>
    <font>
      <b/>
      <sz val="10"/>
      <color theme="1"/>
      <name val="Courier New"/>
      <family val="3"/>
      <charset val="1"/>
    </font>
    <font>
      <b/>
      <sz val="10"/>
      <name val="Courier New"/>
      <family val="1"/>
    </font>
    <font>
      <b/>
      <sz val="10"/>
      <color rgb="FFFF0000"/>
      <name val="Courier New"/>
      <family val="1"/>
    </font>
    <font>
      <b/>
      <sz val="10"/>
      <color theme="1"/>
      <name val="Courier New"/>
      <family val="1"/>
    </font>
    <font>
      <b/>
      <sz val="10"/>
      <color theme="1"/>
      <name val="Calibri"/>
      <family val="2"/>
      <scheme val="minor"/>
    </font>
    <font>
      <b/>
      <sz val="14"/>
      <color theme="9"/>
      <name val="Courier New"/>
      <family val="3"/>
      <charset val="1"/>
    </font>
    <font>
      <sz val="10"/>
      <color theme="9"/>
      <name val="Arial"/>
      <family val="2"/>
      <charset val="1"/>
    </font>
    <font>
      <b/>
      <sz val="10"/>
      <color theme="9"/>
      <name val="Courier New"/>
      <family val="1"/>
    </font>
    <font>
      <sz val="12"/>
      <color theme="4" tint="-0.249977111117893"/>
      <name val="Courier New"/>
      <family val="1"/>
    </font>
    <font>
      <b/>
      <sz val="12"/>
      <color rgb="FF0A1106"/>
      <name val="Courier New"/>
      <family val="1"/>
    </font>
    <font>
      <b/>
      <sz val="10"/>
      <color rgb="FF0A1106"/>
      <name val="Courier New"/>
      <family val="1"/>
    </font>
    <font>
      <b/>
      <sz val="12"/>
      <color rgb="FF0A1106"/>
      <name val="Courier New"/>
      <family val="3"/>
      <charset val="1"/>
    </font>
    <font>
      <sz val="12"/>
      <name val="Arial"/>
      <family val="2"/>
      <charset val="1"/>
    </font>
    <font>
      <b/>
      <sz val="12"/>
      <name val="Courier New"/>
      <family val="3"/>
      <charset val="1"/>
    </font>
    <font>
      <b/>
      <sz val="12"/>
      <color theme="1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8" fillId="0" borderId="0" xfId="0" applyNumberFormat="1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0" fontId="19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1"/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22" fillId="0" borderId="0" xfId="0" applyFont="1" applyAlignment="1">
      <alignment wrapText="1"/>
    </xf>
    <xf numFmtId="164" fontId="30" fillId="0" borderId="0" xfId="0" applyNumberFormat="1" applyFont="1"/>
    <xf numFmtId="0" fontId="31" fillId="0" borderId="0" xfId="0" applyFont="1"/>
    <xf numFmtId="164" fontId="32" fillId="0" borderId="0" xfId="0" applyNumberFormat="1" applyFont="1"/>
    <xf numFmtId="0" fontId="33" fillId="0" borderId="0" xfId="0" applyFont="1"/>
    <xf numFmtId="0" fontId="3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A1106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azon.com/Double-Sided-Copper-Laminate-Circuit/dp/B01LZVMI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zoomScale="124" zoomScaleNormal="124" workbookViewId="0">
      <selection activeCell="N16" sqref="N16"/>
    </sheetView>
  </sheetViews>
  <sheetFormatPr baseColWidth="10" defaultColWidth="11.5" defaultRowHeight="13" x14ac:dyDescent="0.15"/>
  <cols>
    <col min="1" max="1" width="23.6640625" customWidth="1"/>
    <col min="2" max="2" width="8.6640625" customWidth="1"/>
    <col min="3" max="4" width="7.5" customWidth="1"/>
    <col min="5" max="5" width="9" customWidth="1"/>
    <col min="6" max="9" width="7.5" customWidth="1"/>
    <col min="10" max="10" width="6.6640625" customWidth="1"/>
    <col min="11" max="11" width="14.1640625" style="1" customWidth="1"/>
    <col min="12" max="12" width="10.1640625" style="1" customWidth="1"/>
    <col min="13" max="13" width="10" style="38" customWidth="1"/>
    <col min="14" max="14" width="7.83203125" customWidth="1"/>
    <col min="15" max="15" width="46.6640625" customWidth="1"/>
    <col min="16" max="16" width="14.6640625" customWidth="1"/>
  </cols>
  <sheetData>
    <row r="1" spans="1:18" ht="19" x14ac:dyDescent="0.25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8" ht="19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19" x14ac:dyDescent="0.25">
      <c r="A3" s="2" t="s">
        <v>69</v>
      </c>
      <c r="B3" s="2">
        <v>45</v>
      </c>
      <c r="C3" s="2"/>
      <c r="D3" s="28" t="s">
        <v>84</v>
      </c>
      <c r="E3" s="28"/>
      <c r="F3" s="28"/>
      <c r="G3" s="28"/>
      <c r="H3" s="28"/>
      <c r="I3" s="28"/>
      <c r="J3" s="28"/>
      <c r="K3" s="29"/>
    </row>
    <row r="4" spans="1:18" ht="19" x14ac:dyDescent="0.25">
      <c r="A4" s="2" t="s">
        <v>70</v>
      </c>
      <c r="B4" s="2" t="s">
        <v>71</v>
      </c>
      <c r="C4" s="2" t="s">
        <v>72</v>
      </c>
      <c r="D4" s="2" t="s">
        <v>73</v>
      </c>
      <c r="E4" s="2" t="s">
        <v>78</v>
      </c>
      <c r="F4" s="2" t="s">
        <v>74</v>
      </c>
      <c r="G4" s="2" t="s">
        <v>75</v>
      </c>
      <c r="H4" s="2" t="s">
        <v>76</v>
      </c>
      <c r="I4" s="2" t="s">
        <v>77</v>
      </c>
      <c r="J4" s="2"/>
      <c r="K4" s="20"/>
      <c r="L4" s="20"/>
      <c r="M4" s="39"/>
      <c r="N4" s="20"/>
      <c r="O4" s="20"/>
      <c r="P4" s="20"/>
    </row>
    <row r="5" spans="1:18" ht="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0"/>
      <c r="L5" s="20"/>
      <c r="M5" s="39"/>
      <c r="N5" s="20"/>
      <c r="O5" s="20"/>
      <c r="P5" s="20"/>
    </row>
    <row r="6" spans="1:18" s="3" customFormat="1" ht="16" x14ac:dyDescent="0.2">
      <c r="A6" s="3" t="s">
        <v>0</v>
      </c>
      <c r="J6" s="24"/>
      <c r="K6" s="25" t="s">
        <v>85</v>
      </c>
      <c r="L6" s="25" t="s">
        <v>81</v>
      </c>
      <c r="M6" s="40" t="s">
        <v>82</v>
      </c>
      <c r="N6" s="25" t="s">
        <v>1</v>
      </c>
      <c r="O6" s="25" t="s">
        <v>2</v>
      </c>
      <c r="P6" s="26" t="s">
        <v>3</v>
      </c>
      <c r="Q6" s="27"/>
      <c r="R6" s="24"/>
    </row>
    <row r="7" spans="1:18" s="7" customFormat="1" ht="17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41"/>
      <c r="N7" s="5"/>
      <c r="O7" s="5"/>
      <c r="P7" s="6"/>
    </row>
    <row r="8" spans="1:18" s="10" customFormat="1" ht="15" x14ac:dyDescent="0.2">
      <c r="A8" s="8" t="s">
        <v>5</v>
      </c>
      <c r="B8" s="8">
        <v>1</v>
      </c>
      <c r="C8" s="8"/>
      <c r="D8" s="8"/>
      <c r="E8" s="8"/>
      <c r="F8" s="8"/>
      <c r="G8" s="8"/>
      <c r="H8" s="8"/>
      <c r="I8" s="8"/>
      <c r="J8" s="8"/>
      <c r="K8" s="9">
        <f>ROUNDUP(  SUM(B8:I8)*$B$3*1.1,0)</f>
        <v>50</v>
      </c>
      <c r="L8" s="9">
        <v>350</v>
      </c>
      <c r="M8" s="42">
        <f t="shared" ref="M8:M16" si="0">IF(K8-L8&lt;=0,R74,K8-L8)</f>
        <v>0</v>
      </c>
      <c r="N8" s="10">
        <v>0.13700000000000001</v>
      </c>
      <c r="O8" s="8" t="s">
        <v>6</v>
      </c>
      <c r="P8" s="11">
        <f>M8*N8</f>
        <v>0</v>
      </c>
    </row>
    <row r="9" spans="1:18" s="10" customFormat="1" ht="15" x14ac:dyDescent="0.2">
      <c r="A9" s="32" t="s">
        <v>99</v>
      </c>
      <c r="B9" s="8">
        <v>4</v>
      </c>
      <c r="C9" s="8"/>
      <c r="D9" s="8"/>
      <c r="E9" s="8"/>
      <c r="F9" s="8"/>
      <c r="G9" s="8"/>
      <c r="H9" s="8"/>
      <c r="I9" s="8"/>
      <c r="J9" s="8"/>
      <c r="K9" s="9">
        <f>ROUNDUP(  SUM(B9:I9)*$B$3*1.1,0)</f>
        <v>198</v>
      </c>
      <c r="L9" s="9">
        <v>0</v>
      </c>
      <c r="M9" s="42">
        <f t="shared" si="0"/>
        <v>198</v>
      </c>
      <c r="N9" s="10">
        <v>0.104</v>
      </c>
      <c r="O9" s="8" t="s">
        <v>98</v>
      </c>
      <c r="P9" s="11">
        <f>M9*N9</f>
        <v>20.591999999999999</v>
      </c>
    </row>
    <row r="10" spans="1:18" ht="15" x14ac:dyDescent="0.2">
      <c r="A10" s="8" t="s">
        <v>7</v>
      </c>
      <c r="B10" s="8">
        <v>1</v>
      </c>
      <c r="C10" s="8"/>
      <c r="D10" s="8"/>
      <c r="E10" s="8"/>
      <c r="F10" s="8"/>
      <c r="G10" s="8"/>
      <c r="H10" s="8">
        <v>1</v>
      </c>
      <c r="I10" s="8"/>
      <c r="J10" s="8"/>
      <c r="K10" s="9">
        <f>ROUNDUP(  SUM(B10:I10)*$B$3*1.1,0)</f>
        <v>99</v>
      </c>
      <c r="L10" s="9">
        <v>48</v>
      </c>
      <c r="M10" s="42">
        <f t="shared" si="0"/>
        <v>51</v>
      </c>
      <c r="N10" s="10">
        <v>3.7999999999999999E-2</v>
      </c>
      <c r="O10" s="10" t="s">
        <v>8</v>
      </c>
      <c r="P10" s="11">
        <f t="shared" ref="P10:P16" si="1">M10*N10</f>
        <v>1.9379999999999999</v>
      </c>
    </row>
    <row r="11" spans="1:18" s="10" customFormat="1" ht="15" x14ac:dyDescent="0.2">
      <c r="A11" s="12" t="s">
        <v>9</v>
      </c>
      <c r="B11" s="12"/>
      <c r="C11" s="12">
        <v>1</v>
      </c>
      <c r="D11" s="12">
        <v>1</v>
      </c>
      <c r="E11" s="12">
        <v>1</v>
      </c>
      <c r="F11" s="12">
        <v>2</v>
      </c>
      <c r="G11" s="12">
        <v>2</v>
      </c>
      <c r="H11" s="12"/>
      <c r="I11" s="12">
        <v>2</v>
      </c>
      <c r="J11" s="12"/>
      <c r="K11" s="9">
        <f t="shared" ref="K11:K16" si="2">ROUNDUP(  SUM(B11:I11)*$B$3*1.1,0)</f>
        <v>446</v>
      </c>
      <c r="L11" s="9">
        <v>480</v>
      </c>
      <c r="M11" s="42">
        <f t="shared" si="0"/>
        <v>0</v>
      </c>
      <c r="N11" s="10">
        <v>9.8000000000000004E-2</v>
      </c>
      <c r="O11" s="10" t="s">
        <v>10</v>
      </c>
      <c r="P11" s="11">
        <f t="shared" si="1"/>
        <v>0</v>
      </c>
    </row>
    <row r="12" spans="1:18" s="10" customFormat="1" ht="15" x14ac:dyDescent="0.2">
      <c r="A12" s="12" t="s">
        <v>11</v>
      </c>
      <c r="B12" s="12"/>
      <c r="C12" s="12"/>
      <c r="D12" s="12"/>
      <c r="E12" s="12"/>
      <c r="F12" s="12"/>
      <c r="G12" s="12">
        <v>1</v>
      </c>
      <c r="H12" s="12"/>
      <c r="I12" s="12">
        <v>1</v>
      </c>
      <c r="J12" s="12"/>
      <c r="K12" s="9">
        <f t="shared" si="2"/>
        <v>99</v>
      </c>
      <c r="L12" s="9">
        <v>5</v>
      </c>
      <c r="M12" s="42">
        <f t="shared" si="0"/>
        <v>94</v>
      </c>
      <c r="N12" s="10">
        <v>8.5999999999999993E-2</v>
      </c>
      <c r="O12" s="10" t="s">
        <v>12</v>
      </c>
      <c r="P12" s="11">
        <f t="shared" si="1"/>
        <v>8.0839999999999996</v>
      </c>
    </row>
    <row r="13" spans="1:18" s="10" customFormat="1" ht="15" x14ac:dyDescent="0.2">
      <c r="A13" s="12" t="s">
        <v>13</v>
      </c>
      <c r="B13" s="12"/>
      <c r="C13" s="12"/>
      <c r="D13" s="12"/>
      <c r="E13" s="12"/>
      <c r="F13" s="12"/>
      <c r="G13" s="12">
        <v>1</v>
      </c>
      <c r="H13" s="12"/>
      <c r="I13" s="12"/>
      <c r="J13" s="12"/>
      <c r="K13" s="9">
        <f t="shared" si="2"/>
        <v>50</v>
      </c>
      <c r="L13" s="9">
        <v>0</v>
      </c>
      <c r="M13" s="42">
        <f t="shared" si="0"/>
        <v>50</v>
      </c>
      <c r="N13" s="10">
        <v>8.5000000000000006E-2</v>
      </c>
      <c r="O13" s="10" t="s">
        <v>14</v>
      </c>
      <c r="P13" s="11">
        <f t="shared" si="1"/>
        <v>4.25</v>
      </c>
    </row>
    <row r="14" spans="1:18" s="10" customFormat="1" ht="15" x14ac:dyDescent="0.2">
      <c r="A14" s="12" t="s">
        <v>15</v>
      </c>
      <c r="B14" s="12"/>
      <c r="C14" s="12"/>
      <c r="D14" s="12"/>
      <c r="E14" s="12"/>
      <c r="F14" s="12"/>
      <c r="G14" s="12"/>
      <c r="H14" s="12">
        <v>1</v>
      </c>
      <c r="I14" s="12"/>
      <c r="J14" s="12"/>
      <c r="K14" s="9">
        <f>ROUNDUP(  SUM(B14:I14)*$B$3*1.1,0)</f>
        <v>50</v>
      </c>
      <c r="L14" s="9">
        <v>30</v>
      </c>
      <c r="M14" s="42">
        <f t="shared" si="0"/>
        <v>20</v>
      </c>
      <c r="N14" s="10">
        <v>0.314</v>
      </c>
      <c r="O14" s="10" t="s">
        <v>16</v>
      </c>
      <c r="P14" s="11">
        <f t="shared" si="1"/>
        <v>6.28</v>
      </c>
    </row>
    <row r="15" spans="1:18" s="10" customFormat="1" ht="15" x14ac:dyDescent="0.2">
      <c r="A15" s="48" t="s">
        <v>107</v>
      </c>
      <c r="B15" s="12"/>
      <c r="C15" s="12"/>
      <c r="D15" s="12"/>
      <c r="E15" s="12"/>
      <c r="F15" s="12"/>
      <c r="G15" s="12"/>
      <c r="H15" s="12"/>
      <c r="I15" s="12">
        <v>1</v>
      </c>
      <c r="J15" s="12"/>
      <c r="K15" s="9">
        <f>ROUNDUP(  SUM(B15:I15)*$B$3*1.1,0)</f>
        <v>50</v>
      </c>
      <c r="L15" s="9">
        <v>0</v>
      </c>
      <c r="M15" s="42">
        <f t="shared" si="0"/>
        <v>50</v>
      </c>
      <c r="N15" s="10">
        <v>1.51</v>
      </c>
      <c r="O15" s="10" t="s">
        <v>108</v>
      </c>
      <c r="P15" s="11">
        <f t="shared" si="1"/>
        <v>75.5</v>
      </c>
    </row>
    <row r="16" spans="1:18" s="10" customFormat="1" ht="15" x14ac:dyDescent="0.2">
      <c r="A16" t="s">
        <v>121</v>
      </c>
      <c r="B16" s="12"/>
      <c r="C16" s="12"/>
      <c r="D16" s="12"/>
      <c r="E16" s="12"/>
      <c r="F16" s="12">
        <v>2</v>
      </c>
      <c r="G16" s="12"/>
      <c r="H16" s="12"/>
      <c r="I16" s="12"/>
      <c r="J16" s="12"/>
      <c r="K16" s="9">
        <f t="shared" si="2"/>
        <v>99</v>
      </c>
      <c r="L16" s="9">
        <v>15</v>
      </c>
      <c r="M16" s="42">
        <f t="shared" si="0"/>
        <v>84</v>
      </c>
      <c r="N16" s="10">
        <v>0.89</v>
      </c>
      <c r="O16" s="10" t="s">
        <v>83</v>
      </c>
      <c r="P16" s="11">
        <f t="shared" si="1"/>
        <v>74.760000000000005</v>
      </c>
    </row>
    <row r="17" spans="1:16" s="10" customFormat="1" ht="15" x14ac:dyDescent="0.2"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42"/>
      <c r="P17" s="11"/>
    </row>
    <row r="18" spans="1:16" s="10" customFormat="1" ht="18" x14ac:dyDescent="0.25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25" t="s">
        <v>85</v>
      </c>
      <c r="L18" s="25" t="s">
        <v>81</v>
      </c>
      <c r="M18" s="40" t="s">
        <v>82</v>
      </c>
      <c r="P18" s="11"/>
    </row>
    <row r="19" spans="1:16" s="10" customFormat="1" ht="17" x14ac:dyDescent="0.25">
      <c r="A19" s="22" t="s">
        <v>79</v>
      </c>
      <c r="B19" s="13"/>
      <c r="C19" s="13"/>
      <c r="D19" s="13"/>
      <c r="E19" s="13">
        <v>1</v>
      </c>
      <c r="F19" s="21">
        <v>1</v>
      </c>
      <c r="G19" s="13"/>
      <c r="H19" s="13"/>
      <c r="I19" s="13"/>
      <c r="J19" s="13"/>
      <c r="K19" s="9">
        <f>ROUNDUP(SUM(B19:I19)*1.1*$B$3,0)</f>
        <v>99</v>
      </c>
      <c r="L19" s="9">
        <v>500</v>
      </c>
      <c r="M19" s="42">
        <f>CEILING(IF(K19-L19&lt;=0,0,K19-L19),200)</f>
        <v>0</v>
      </c>
      <c r="N19" s="10">
        <v>3.9E-2</v>
      </c>
      <c r="O19" s="10" t="s">
        <v>19</v>
      </c>
      <c r="P19" s="11">
        <f>M19*N19</f>
        <v>0</v>
      </c>
    </row>
    <row r="20" spans="1:16" s="10" customFormat="1" ht="17" x14ac:dyDescent="0.25">
      <c r="A20" s="22" t="s">
        <v>80</v>
      </c>
      <c r="B20" s="13"/>
      <c r="C20" s="13"/>
      <c r="D20" s="13"/>
      <c r="E20" s="13">
        <v>1</v>
      </c>
      <c r="F20" s="21">
        <v>1</v>
      </c>
      <c r="G20" s="13"/>
      <c r="H20" s="13"/>
      <c r="I20" s="13"/>
      <c r="J20" s="13"/>
      <c r="K20" s="9">
        <f t="shared" ref="K20:K65" si="3">ROUNDUP(SUM(B20:I20)*1.1*$B$3,0)</f>
        <v>99</v>
      </c>
      <c r="L20" s="9">
        <v>350</v>
      </c>
      <c r="M20" s="42">
        <f t="shared" ref="M20:M54" si="4">CEILING(IF(K20-L20&lt;=0,0,K20-L20),200)</f>
        <v>0</v>
      </c>
      <c r="N20" s="10">
        <v>3.9E-2</v>
      </c>
      <c r="O20" s="10" t="s">
        <v>19</v>
      </c>
      <c r="P20" s="11">
        <f t="shared" ref="P20:P58" si="5">M20*N20</f>
        <v>0</v>
      </c>
    </row>
    <row r="21" spans="1:16" s="10" customFormat="1" ht="17" x14ac:dyDescent="0.25">
      <c r="A21" s="22" t="s">
        <v>112</v>
      </c>
      <c r="B21" s="13"/>
      <c r="C21" s="13"/>
      <c r="D21" s="13"/>
      <c r="E21" s="13"/>
      <c r="F21" s="21"/>
      <c r="G21" s="13"/>
      <c r="H21" s="13"/>
      <c r="I21" s="13"/>
      <c r="J21" s="13"/>
      <c r="K21" s="9"/>
      <c r="L21" s="9">
        <v>70</v>
      </c>
      <c r="M21" s="42">
        <v>0</v>
      </c>
      <c r="P21" s="11"/>
    </row>
    <row r="22" spans="1:16" s="10" customFormat="1" ht="15" x14ac:dyDescent="0.2">
      <c r="A22" s="10" t="s">
        <v>18</v>
      </c>
      <c r="D22" s="10">
        <v>1</v>
      </c>
      <c r="E22" s="10">
        <v>1</v>
      </c>
      <c r="K22" s="9">
        <f t="shared" si="3"/>
        <v>99</v>
      </c>
      <c r="L22" s="9">
        <v>250</v>
      </c>
      <c r="M22" s="42">
        <f t="shared" si="4"/>
        <v>0</v>
      </c>
      <c r="N22" s="10">
        <v>3.9E-2</v>
      </c>
      <c r="O22" s="10" t="s">
        <v>19</v>
      </c>
      <c r="P22" s="11">
        <f t="shared" si="5"/>
        <v>0</v>
      </c>
    </row>
    <row r="23" spans="1:16" s="10" customFormat="1" ht="15" x14ac:dyDescent="0.2">
      <c r="A23" s="10" t="s">
        <v>20</v>
      </c>
      <c r="D23" s="10">
        <v>1</v>
      </c>
      <c r="E23" s="10">
        <v>1</v>
      </c>
      <c r="K23" s="9">
        <f t="shared" si="3"/>
        <v>99</v>
      </c>
      <c r="L23" s="9">
        <v>150</v>
      </c>
      <c r="M23" s="42">
        <f t="shared" si="4"/>
        <v>0</v>
      </c>
      <c r="N23" s="10">
        <v>3.9E-2</v>
      </c>
      <c r="O23" s="10" t="s">
        <v>19</v>
      </c>
      <c r="P23" s="11">
        <f t="shared" si="5"/>
        <v>0</v>
      </c>
    </row>
    <row r="24" spans="1:16" s="10" customFormat="1" ht="15" x14ac:dyDescent="0.2">
      <c r="A24" s="10" t="s">
        <v>113</v>
      </c>
      <c r="K24" s="9"/>
      <c r="L24" s="9">
        <v>20</v>
      </c>
      <c r="M24" s="42">
        <v>0</v>
      </c>
      <c r="P24" s="11"/>
    </row>
    <row r="25" spans="1:16" s="10" customFormat="1" ht="15" x14ac:dyDescent="0.2">
      <c r="A25" s="10" t="s">
        <v>21</v>
      </c>
      <c r="C25" s="10">
        <v>1</v>
      </c>
      <c r="D25" s="10">
        <v>1</v>
      </c>
      <c r="E25" s="10">
        <v>1</v>
      </c>
      <c r="G25" s="10">
        <v>1</v>
      </c>
      <c r="K25" s="9">
        <f t="shared" si="3"/>
        <v>198</v>
      </c>
      <c r="L25" s="9">
        <v>380</v>
      </c>
      <c r="M25" s="42">
        <f t="shared" si="4"/>
        <v>0</v>
      </c>
      <c r="N25" s="10">
        <v>3.9E-2</v>
      </c>
      <c r="O25" s="10" t="s">
        <v>19</v>
      </c>
      <c r="P25" s="11">
        <f t="shared" si="5"/>
        <v>0</v>
      </c>
    </row>
    <row r="26" spans="1:16" s="10" customFormat="1" ht="15" x14ac:dyDescent="0.2">
      <c r="A26" s="10" t="s">
        <v>22</v>
      </c>
      <c r="D26" s="10">
        <v>1</v>
      </c>
      <c r="E26" s="10">
        <v>1</v>
      </c>
      <c r="K26" s="9">
        <f t="shared" si="3"/>
        <v>99</v>
      </c>
      <c r="L26" s="9">
        <v>250</v>
      </c>
      <c r="M26" s="42">
        <f t="shared" si="4"/>
        <v>0</v>
      </c>
      <c r="N26" s="10">
        <v>3.9E-2</v>
      </c>
      <c r="O26" s="10" t="s">
        <v>19</v>
      </c>
      <c r="P26" s="11">
        <f t="shared" si="5"/>
        <v>0</v>
      </c>
    </row>
    <row r="27" spans="1:16" s="10" customFormat="1" ht="15" x14ac:dyDescent="0.2">
      <c r="A27" s="10" t="s">
        <v>23</v>
      </c>
      <c r="D27" s="10">
        <v>1</v>
      </c>
      <c r="E27" s="10">
        <v>1</v>
      </c>
      <c r="K27" s="9">
        <f t="shared" si="3"/>
        <v>99</v>
      </c>
      <c r="L27" s="9">
        <v>550</v>
      </c>
      <c r="M27" s="42">
        <f t="shared" si="4"/>
        <v>0</v>
      </c>
      <c r="N27" s="10">
        <v>3.9E-2</v>
      </c>
      <c r="O27" s="10" t="s">
        <v>19</v>
      </c>
      <c r="P27" s="11">
        <f t="shared" si="5"/>
        <v>0</v>
      </c>
    </row>
    <row r="28" spans="1:16" s="10" customFormat="1" ht="15" x14ac:dyDescent="0.2">
      <c r="A28" s="10" t="s">
        <v>24</v>
      </c>
      <c r="D28" s="10">
        <v>1</v>
      </c>
      <c r="G28" s="10">
        <v>1</v>
      </c>
      <c r="K28" s="9">
        <f t="shared" si="3"/>
        <v>99</v>
      </c>
      <c r="L28" s="9">
        <v>430</v>
      </c>
      <c r="M28" s="42">
        <f t="shared" si="4"/>
        <v>0</v>
      </c>
      <c r="N28" s="10">
        <v>3.9E-2</v>
      </c>
      <c r="O28" s="10" t="s">
        <v>19</v>
      </c>
      <c r="P28" s="11">
        <f t="shared" si="5"/>
        <v>0</v>
      </c>
    </row>
    <row r="29" spans="1:16" s="10" customFormat="1" ht="15" x14ac:dyDescent="0.2">
      <c r="A29" s="10" t="s">
        <v>25</v>
      </c>
      <c r="D29" s="10">
        <v>1</v>
      </c>
      <c r="K29" s="9">
        <f t="shared" si="3"/>
        <v>50</v>
      </c>
      <c r="L29" s="9">
        <v>240</v>
      </c>
      <c r="M29" s="42">
        <f t="shared" si="4"/>
        <v>0</v>
      </c>
      <c r="N29" s="10">
        <v>3.9E-2</v>
      </c>
      <c r="O29" s="10" t="s">
        <v>19</v>
      </c>
      <c r="P29" s="11">
        <f t="shared" si="5"/>
        <v>0</v>
      </c>
    </row>
    <row r="30" spans="1:16" s="10" customFormat="1" ht="15" x14ac:dyDescent="0.2">
      <c r="A30" s="10" t="s">
        <v>26</v>
      </c>
      <c r="D30" s="10">
        <v>1</v>
      </c>
      <c r="F30" s="10">
        <v>1</v>
      </c>
      <c r="K30" s="9">
        <f t="shared" si="3"/>
        <v>99</v>
      </c>
      <c r="L30" s="9">
        <v>400</v>
      </c>
      <c r="M30" s="42">
        <f t="shared" si="4"/>
        <v>0</v>
      </c>
      <c r="N30" s="10">
        <v>3.9E-2</v>
      </c>
      <c r="O30" s="10" t="s">
        <v>19</v>
      </c>
      <c r="P30" s="11">
        <f t="shared" si="5"/>
        <v>0</v>
      </c>
    </row>
    <row r="31" spans="1:16" s="10" customFormat="1" ht="15" x14ac:dyDescent="0.2">
      <c r="A31" s="10" t="s">
        <v>87</v>
      </c>
      <c r="K31" s="9">
        <f t="shared" si="3"/>
        <v>0</v>
      </c>
      <c r="L31" s="9">
        <v>500</v>
      </c>
      <c r="M31" s="42">
        <f t="shared" si="4"/>
        <v>0</v>
      </c>
      <c r="N31" s="10">
        <v>3.9E-2</v>
      </c>
      <c r="O31" s="10" t="s">
        <v>19</v>
      </c>
      <c r="P31" s="11">
        <f t="shared" si="5"/>
        <v>0</v>
      </c>
    </row>
    <row r="32" spans="1:16" s="10" customFormat="1" ht="15" x14ac:dyDescent="0.2">
      <c r="A32" s="10" t="s">
        <v>27</v>
      </c>
      <c r="D32" s="10">
        <v>1</v>
      </c>
      <c r="K32" s="9">
        <f t="shared" si="3"/>
        <v>50</v>
      </c>
      <c r="L32" s="9">
        <v>660</v>
      </c>
      <c r="M32" s="42">
        <f t="shared" si="4"/>
        <v>0</v>
      </c>
      <c r="N32" s="10">
        <v>3.9E-2</v>
      </c>
      <c r="O32" s="10" t="s">
        <v>19</v>
      </c>
      <c r="P32" s="11">
        <f t="shared" si="5"/>
        <v>0</v>
      </c>
    </row>
    <row r="33" spans="1:16" s="10" customFormat="1" ht="15" x14ac:dyDescent="0.2">
      <c r="A33" s="10" t="s">
        <v>28</v>
      </c>
      <c r="B33" s="10">
        <v>1</v>
      </c>
      <c r="C33" s="10">
        <v>1</v>
      </c>
      <c r="D33" s="10">
        <v>1</v>
      </c>
      <c r="F33" s="10">
        <v>2</v>
      </c>
      <c r="G33" s="10">
        <v>2</v>
      </c>
      <c r="H33" s="10">
        <v>1</v>
      </c>
      <c r="K33" s="9">
        <f t="shared" si="3"/>
        <v>396</v>
      </c>
      <c r="L33" s="9">
        <v>950</v>
      </c>
      <c r="M33" s="42">
        <f t="shared" si="4"/>
        <v>0</v>
      </c>
      <c r="N33" s="10">
        <v>3.9E-2</v>
      </c>
      <c r="O33" s="10" t="s">
        <v>19</v>
      </c>
      <c r="P33" s="11">
        <f t="shared" si="5"/>
        <v>0</v>
      </c>
    </row>
    <row r="34" spans="1:16" s="10" customFormat="1" ht="15" x14ac:dyDescent="0.2">
      <c r="A34" s="10" t="s">
        <v>68</v>
      </c>
      <c r="D34" s="10">
        <v>1</v>
      </c>
      <c r="F34" s="10">
        <v>1</v>
      </c>
      <c r="H34" s="10">
        <v>1</v>
      </c>
      <c r="K34" s="9">
        <f t="shared" si="3"/>
        <v>149</v>
      </c>
      <c r="L34" s="9">
        <v>600</v>
      </c>
      <c r="M34" s="42">
        <f t="shared" si="4"/>
        <v>0</v>
      </c>
      <c r="N34" s="10">
        <v>3.9E-2</v>
      </c>
      <c r="O34" s="10" t="s">
        <v>19</v>
      </c>
      <c r="P34" s="11">
        <f t="shared" si="5"/>
        <v>0</v>
      </c>
    </row>
    <row r="35" spans="1:16" s="10" customFormat="1" ht="15" x14ac:dyDescent="0.2">
      <c r="A35" s="10" t="s">
        <v>30</v>
      </c>
      <c r="D35" s="10">
        <v>1</v>
      </c>
      <c r="F35" s="10">
        <v>1</v>
      </c>
      <c r="H35" s="10">
        <v>1</v>
      </c>
      <c r="K35" s="9">
        <f t="shared" si="3"/>
        <v>149</v>
      </c>
      <c r="L35" s="9">
        <v>550</v>
      </c>
      <c r="M35" s="42">
        <f t="shared" si="4"/>
        <v>0</v>
      </c>
      <c r="N35" s="10">
        <v>3.9E-2</v>
      </c>
      <c r="O35" s="10" t="s">
        <v>19</v>
      </c>
      <c r="P35" s="11">
        <f t="shared" si="5"/>
        <v>0</v>
      </c>
    </row>
    <row r="36" spans="1:16" s="10" customFormat="1" ht="15" x14ac:dyDescent="0.2">
      <c r="A36" s="10" t="s">
        <v>29</v>
      </c>
      <c r="D36" s="10">
        <v>1</v>
      </c>
      <c r="E36" s="10">
        <v>1</v>
      </c>
      <c r="F36" s="10">
        <v>1</v>
      </c>
      <c r="H36" s="10">
        <v>1</v>
      </c>
      <c r="K36" s="9">
        <f t="shared" si="3"/>
        <v>198</v>
      </c>
      <c r="L36" s="9">
        <v>650</v>
      </c>
      <c r="M36" s="42">
        <f t="shared" si="4"/>
        <v>0</v>
      </c>
      <c r="N36" s="10">
        <v>3.9E-2</v>
      </c>
      <c r="O36" s="10" t="s">
        <v>19</v>
      </c>
      <c r="P36" s="11">
        <f t="shared" si="5"/>
        <v>0</v>
      </c>
    </row>
    <row r="37" spans="1:16" s="10" customFormat="1" ht="15" x14ac:dyDescent="0.2">
      <c r="A37" s="10" t="s">
        <v>31</v>
      </c>
      <c r="D37" s="10">
        <v>1</v>
      </c>
      <c r="G37" s="10">
        <v>1</v>
      </c>
      <c r="H37" s="10">
        <v>1</v>
      </c>
      <c r="K37" s="9">
        <f t="shared" si="3"/>
        <v>149</v>
      </c>
      <c r="L37" s="9">
        <v>300</v>
      </c>
      <c r="M37" s="42">
        <f t="shared" si="4"/>
        <v>0</v>
      </c>
      <c r="N37" s="10">
        <v>3.9E-2</v>
      </c>
      <c r="O37" s="10" t="s">
        <v>19</v>
      </c>
      <c r="P37" s="11">
        <f t="shared" si="5"/>
        <v>0</v>
      </c>
    </row>
    <row r="38" spans="1:16" s="10" customFormat="1" ht="15" x14ac:dyDescent="0.2">
      <c r="A38" s="10" t="s">
        <v>32</v>
      </c>
      <c r="D38" s="10">
        <v>1</v>
      </c>
      <c r="H38" s="10">
        <v>1</v>
      </c>
      <c r="K38" s="9">
        <f t="shared" si="3"/>
        <v>99</v>
      </c>
      <c r="L38" s="9">
        <v>400</v>
      </c>
      <c r="M38" s="42">
        <f t="shared" si="4"/>
        <v>0</v>
      </c>
      <c r="N38" s="10">
        <v>3.9E-2</v>
      </c>
      <c r="O38" s="10" t="s">
        <v>19</v>
      </c>
      <c r="P38" s="11">
        <f t="shared" si="5"/>
        <v>0</v>
      </c>
    </row>
    <row r="39" spans="1:16" s="10" customFormat="1" ht="15" x14ac:dyDescent="0.2">
      <c r="A39" s="10" t="s">
        <v>33</v>
      </c>
      <c r="C39" s="10">
        <v>1</v>
      </c>
      <c r="D39" s="10">
        <v>1</v>
      </c>
      <c r="H39" s="10">
        <v>1</v>
      </c>
      <c r="I39" s="10">
        <v>1</v>
      </c>
      <c r="K39" s="9">
        <f t="shared" si="3"/>
        <v>198</v>
      </c>
      <c r="L39" s="9">
        <v>550</v>
      </c>
      <c r="M39" s="42">
        <f t="shared" si="4"/>
        <v>0</v>
      </c>
      <c r="N39" s="10">
        <v>3.9E-2</v>
      </c>
      <c r="O39" s="10" t="s">
        <v>19</v>
      </c>
      <c r="P39" s="11">
        <f t="shared" si="5"/>
        <v>0</v>
      </c>
    </row>
    <row r="40" spans="1:16" s="10" customFormat="1" ht="15" x14ac:dyDescent="0.2">
      <c r="A40" s="10" t="s">
        <v>34</v>
      </c>
      <c r="D40" s="10">
        <v>1</v>
      </c>
      <c r="H40" s="10">
        <v>1</v>
      </c>
      <c r="K40" s="9">
        <f t="shared" si="3"/>
        <v>99</v>
      </c>
      <c r="L40" s="9">
        <v>500</v>
      </c>
      <c r="M40" s="42">
        <f t="shared" si="4"/>
        <v>0</v>
      </c>
      <c r="N40" s="10">
        <v>3.9E-2</v>
      </c>
      <c r="O40" s="10" t="s">
        <v>19</v>
      </c>
      <c r="P40" s="11">
        <f t="shared" si="5"/>
        <v>0</v>
      </c>
    </row>
    <row r="41" spans="1:16" s="10" customFormat="1" ht="15" x14ac:dyDescent="0.2">
      <c r="A41" s="10" t="s">
        <v>35</v>
      </c>
      <c r="D41" s="10">
        <v>1</v>
      </c>
      <c r="H41" s="10">
        <v>1</v>
      </c>
      <c r="K41" s="9">
        <f t="shared" si="3"/>
        <v>99</v>
      </c>
      <c r="L41" s="9">
        <v>250</v>
      </c>
      <c r="M41" s="42">
        <f t="shared" si="4"/>
        <v>0</v>
      </c>
      <c r="N41" s="10">
        <v>3.9E-2</v>
      </c>
      <c r="O41" s="10" t="s">
        <v>19</v>
      </c>
      <c r="P41" s="11">
        <f t="shared" si="5"/>
        <v>0</v>
      </c>
    </row>
    <row r="42" spans="1:16" s="10" customFormat="1" ht="15" x14ac:dyDescent="0.2">
      <c r="A42" s="10" t="s">
        <v>36</v>
      </c>
      <c r="D42" s="10">
        <v>1</v>
      </c>
      <c r="G42" s="10">
        <v>1</v>
      </c>
      <c r="H42" s="10">
        <v>1</v>
      </c>
      <c r="I42" s="10">
        <v>4</v>
      </c>
      <c r="K42" s="9">
        <f t="shared" si="3"/>
        <v>347</v>
      </c>
      <c r="L42" s="9">
        <v>500</v>
      </c>
      <c r="M42" s="42">
        <f t="shared" si="4"/>
        <v>0</v>
      </c>
      <c r="N42" s="10">
        <v>3.9E-2</v>
      </c>
      <c r="O42" s="10" t="s">
        <v>19</v>
      </c>
      <c r="P42" s="11">
        <f t="shared" si="5"/>
        <v>0</v>
      </c>
    </row>
    <row r="43" spans="1:16" s="10" customFormat="1" ht="15" x14ac:dyDescent="0.2">
      <c r="A43" s="10" t="s">
        <v>37</v>
      </c>
      <c r="D43" s="10">
        <v>1</v>
      </c>
      <c r="H43" s="10">
        <v>1</v>
      </c>
      <c r="K43" s="9">
        <f t="shared" si="3"/>
        <v>99</v>
      </c>
      <c r="L43" s="9">
        <v>600</v>
      </c>
      <c r="M43" s="42">
        <f t="shared" si="4"/>
        <v>0</v>
      </c>
      <c r="N43" s="10">
        <v>3.9E-2</v>
      </c>
      <c r="O43" s="10" t="s">
        <v>19</v>
      </c>
      <c r="P43" s="11">
        <f t="shared" si="5"/>
        <v>0</v>
      </c>
    </row>
    <row r="44" spans="1:16" s="10" customFormat="1" ht="15" x14ac:dyDescent="0.2">
      <c r="A44" s="10" t="s">
        <v>38</v>
      </c>
      <c r="D44" s="10">
        <v>1</v>
      </c>
      <c r="H44" s="10">
        <v>1</v>
      </c>
      <c r="K44" s="9">
        <f t="shared" si="3"/>
        <v>99</v>
      </c>
      <c r="L44" s="9">
        <v>400</v>
      </c>
      <c r="M44" s="42">
        <f t="shared" si="4"/>
        <v>0</v>
      </c>
      <c r="N44" s="10">
        <v>3.9E-2</v>
      </c>
      <c r="O44" s="10" t="s">
        <v>19</v>
      </c>
      <c r="P44" s="11">
        <f t="shared" si="5"/>
        <v>0</v>
      </c>
    </row>
    <row r="45" spans="1:16" s="10" customFormat="1" ht="15" x14ac:dyDescent="0.2">
      <c r="A45" s="10" t="s">
        <v>39</v>
      </c>
      <c r="D45" s="10">
        <v>1</v>
      </c>
      <c r="H45" s="10">
        <v>1</v>
      </c>
      <c r="K45" s="9">
        <f t="shared" si="3"/>
        <v>99</v>
      </c>
      <c r="L45" s="9">
        <v>400</v>
      </c>
      <c r="M45" s="42">
        <f t="shared" si="4"/>
        <v>0</v>
      </c>
      <c r="N45" s="10">
        <v>3.9E-2</v>
      </c>
      <c r="O45" s="10" t="s">
        <v>19</v>
      </c>
      <c r="P45" s="11">
        <f t="shared" si="5"/>
        <v>0</v>
      </c>
    </row>
    <row r="46" spans="1:16" s="10" customFormat="1" ht="15" x14ac:dyDescent="0.2">
      <c r="A46" s="10" t="s">
        <v>40</v>
      </c>
      <c r="C46" s="10">
        <v>1</v>
      </c>
      <c r="D46" s="10">
        <v>1</v>
      </c>
      <c r="H46" s="10">
        <v>1</v>
      </c>
      <c r="K46" s="9">
        <f t="shared" si="3"/>
        <v>149</v>
      </c>
      <c r="L46" s="9">
        <v>500</v>
      </c>
      <c r="M46" s="42">
        <f t="shared" si="4"/>
        <v>0</v>
      </c>
      <c r="N46" s="10">
        <v>3.9E-2</v>
      </c>
      <c r="O46" s="10" t="s">
        <v>19</v>
      </c>
      <c r="P46" s="11">
        <f t="shared" si="5"/>
        <v>0</v>
      </c>
    </row>
    <row r="47" spans="1:16" s="10" customFormat="1" ht="15" x14ac:dyDescent="0.2">
      <c r="A47" s="10" t="s">
        <v>41</v>
      </c>
      <c r="D47" s="10">
        <v>1</v>
      </c>
      <c r="H47" s="10">
        <v>1</v>
      </c>
      <c r="K47" s="9">
        <f t="shared" si="3"/>
        <v>99</v>
      </c>
      <c r="L47" s="9">
        <v>400</v>
      </c>
      <c r="M47" s="42">
        <f t="shared" si="4"/>
        <v>0</v>
      </c>
      <c r="N47" s="10">
        <v>3.9E-2</v>
      </c>
      <c r="O47" s="10" t="s">
        <v>19</v>
      </c>
      <c r="P47" s="11">
        <f t="shared" si="5"/>
        <v>0</v>
      </c>
    </row>
    <row r="48" spans="1:16" s="10" customFormat="1" ht="15" x14ac:dyDescent="0.2">
      <c r="A48" s="10" t="s">
        <v>42</v>
      </c>
      <c r="D48" s="10">
        <v>1</v>
      </c>
      <c r="K48" s="9">
        <f t="shared" si="3"/>
        <v>50</v>
      </c>
      <c r="L48" s="9">
        <v>300</v>
      </c>
      <c r="M48" s="42">
        <f t="shared" si="4"/>
        <v>0</v>
      </c>
      <c r="N48" s="10">
        <v>3.9E-2</v>
      </c>
      <c r="O48" s="10" t="s">
        <v>19</v>
      </c>
      <c r="P48" s="11">
        <f t="shared" si="5"/>
        <v>0</v>
      </c>
    </row>
    <row r="49" spans="1:16" s="10" customFormat="1" ht="15" x14ac:dyDescent="0.2">
      <c r="A49" s="10" t="s">
        <v>43</v>
      </c>
      <c r="K49" s="9">
        <f t="shared" si="3"/>
        <v>0</v>
      </c>
      <c r="L49" s="9">
        <v>300</v>
      </c>
      <c r="M49" s="42">
        <f t="shared" si="4"/>
        <v>0</v>
      </c>
      <c r="N49" s="10">
        <v>3.9E-2</v>
      </c>
      <c r="O49" s="10" t="s">
        <v>19</v>
      </c>
      <c r="P49" s="11">
        <f t="shared" si="5"/>
        <v>0</v>
      </c>
    </row>
    <row r="50" spans="1:16" s="10" customFormat="1" ht="15" x14ac:dyDescent="0.2">
      <c r="A50" s="10" t="s">
        <v>44</v>
      </c>
      <c r="F50" s="10">
        <v>1</v>
      </c>
      <c r="H50" s="10">
        <v>3</v>
      </c>
      <c r="K50" s="9">
        <f t="shared" si="3"/>
        <v>198</v>
      </c>
      <c r="L50" s="9">
        <v>550</v>
      </c>
      <c r="M50" s="42">
        <f t="shared" si="4"/>
        <v>0</v>
      </c>
      <c r="N50" s="10">
        <v>3.9E-2</v>
      </c>
      <c r="O50" s="10" t="s">
        <v>19</v>
      </c>
      <c r="P50" s="11">
        <f t="shared" si="5"/>
        <v>0</v>
      </c>
    </row>
    <row r="51" spans="1:16" s="10" customFormat="1" ht="15" x14ac:dyDescent="0.2">
      <c r="A51" s="10" t="s">
        <v>45</v>
      </c>
      <c r="K51" s="9">
        <f t="shared" si="3"/>
        <v>0</v>
      </c>
      <c r="L51" s="9">
        <v>200</v>
      </c>
      <c r="M51" s="42">
        <f t="shared" si="4"/>
        <v>0</v>
      </c>
      <c r="N51" s="10">
        <v>3.9E-2</v>
      </c>
      <c r="O51" s="10" t="s">
        <v>19</v>
      </c>
      <c r="P51" s="11">
        <f t="shared" si="5"/>
        <v>0</v>
      </c>
    </row>
    <row r="52" spans="1:16" s="10" customFormat="1" ht="15" x14ac:dyDescent="0.2">
      <c r="A52" s="10" t="s">
        <v>46</v>
      </c>
      <c r="K52" s="9">
        <f t="shared" si="3"/>
        <v>0</v>
      </c>
      <c r="L52" s="9">
        <v>50</v>
      </c>
      <c r="M52" s="42">
        <f t="shared" si="4"/>
        <v>0</v>
      </c>
      <c r="N52" s="10">
        <v>3.9E-2</v>
      </c>
      <c r="O52" s="10" t="s">
        <v>19</v>
      </c>
      <c r="P52" s="11">
        <f t="shared" si="5"/>
        <v>0</v>
      </c>
    </row>
    <row r="53" spans="1:16" s="10" customFormat="1" ht="15" x14ac:dyDescent="0.2">
      <c r="A53" s="10" t="s">
        <v>47</v>
      </c>
      <c r="K53" s="9">
        <f t="shared" si="3"/>
        <v>0</v>
      </c>
      <c r="L53" s="9">
        <v>300</v>
      </c>
      <c r="M53" s="42">
        <f t="shared" si="4"/>
        <v>0</v>
      </c>
      <c r="N53" s="10">
        <v>3.9E-2</v>
      </c>
      <c r="O53" s="10" t="s">
        <v>19</v>
      </c>
      <c r="P53" s="11">
        <f t="shared" si="5"/>
        <v>0</v>
      </c>
    </row>
    <row r="54" spans="1:16" s="10" customFormat="1" ht="15" x14ac:dyDescent="0.2">
      <c r="A54" s="10" t="s">
        <v>48</v>
      </c>
      <c r="K54" s="9">
        <f t="shared" si="3"/>
        <v>0</v>
      </c>
      <c r="L54" s="9">
        <v>200</v>
      </c>
      <c r="M54" s="42">
        <f t="shared" si="4"/>
        <v>0</v>
      </c>
      <c r="N54" s="10">
        <v>3.4000000000000002E-2</v>
      </c>
      <c r="O54" s="10" t="s">
        <v>19</v>
      </c>
      <c r="P54" s="11">
        <f t="shared" si="5"/>
        <v>0</v>
      </c>
    </row>
    <row r="55" spans="1:16" s="10" customFormat="1" ht="15" x14ac:dyDescent="0.2">
      <c r="A55" s="32" t="s">
        <v>93</v>
      </c>
      <c r="B55" s="10">
        <v>1</v>
      </c>
      <c r="K55" s="9">
        <f t="shared" si="3"/>
        <v>50</v>
      </c>
      <c r="L55" s="9">
        <v>0</v>
      </c>
      <c r="M55" s="42">
        <f>CEILING(IF(K55-L55&lt;=0,0,K55-L55),50)</f>
        <v>50</v>
      </c>
      <c r="N55" s="10">
        <v>5.3999999999999999E-2</v>
      </c>
      <c r="O55" s="10" t="s">
        <v>94</v>
      </c>
      <c r="P55" s="11">
        <f t="shared" si="5"/>
        <v>2.7</v>
      </c>
    </row>
    <row r="56" spans="1:16" s="10" customFormat="1" ht="15" x14ac:dyDescent="0.2">
      <c r="A56" s="48" t="s">
        <v>104</v>
      </c>
      <c r="I56" s="10">
        <v>4</v>
      </c>
      <c r="K56" s="9">
        <f>ROUNDUP(SUM(B56:I56)*1.1*$B$3,0)</f>
        <v>198</v>
      </c>
      <c r="L56" s="9">
        <v>0</v>
      </c>
      <c r="M56" s="42">
        <f>CEILING(IF(K57-L56&lt;K16=0,0,K57-L56),200)</f>
        <v>200</v>
      </c>
      <c r="N56" s="10">
        <v>2.8000000000000001E-2</v>
      </c>
      <c r="O56" s="10" t="s">
        <v>116</v>
      </c>
      <c r="P56" s="11">
        <f t="shared" si="5"/>
        <v>5.6000000000000005</v>
      </c>
    </row>
    <row r="57" spans="1:16" s="10" customFormat="1" ht="15" x14ac:dyDescent="0.2">
      <c r="A57" s="48" t="s">
        <v>105</v>
      </c>
      <c r="I57" s="10">
        <v>1</v>
      </c>
      <c r="K57" s="9">
        <f>ROUNDUP(SUM(B57:I57)*1.1*$B$3,0)</f>
        <v>50</v>
      </c>
      <c r="L57" s="9">
        <v>0</v>
      </c>
      <c r="M57" s="42">
        <f>CEILING(IF(K58-L57&lt;=0,0,K58-L57),50)</f>
        <v>50</v>
      </c>
      <c r="N57" s="10">
        <v>0.65</v>
      </c>
      <c r="O57" s="10" t="s">
        <v>117</v>
      </c>
      <c r="P57" s="11">
        <f t="shared" si="5"/>
        <v>32.5</v>
      </c>
    </row>
    <row r="58" spans="1:16" s="10" customFormat="1" ht="15" x14ac:dyDescent="0.2">
      <c r="A58" s="48" t="s">
        <v>106</v>
      </c>
      <c r="I58" s="10">
        <v>1</v>
      </c>
      <c r="K58" s="9">
        <f>ROUNDUP(SUM(B58:I58)*1.1*$B$3,0)</f>
        <v>50</v>
      </c>
      <c r="L58" s="9">
        <v>10</v>
      </c>
      <c r="M58" s="42">
        <f>CEILING(IF(K58-L58&lt;=0,0,K58-L58),50)</f>
        <v>50</v>
      </c>
      <c r="N58" s="10">
        <v>0.25700000000000001</v>
      </c>
      <c r="O58" s="10" t="s">
        <v>118</v>
      </c>
      <c r="P58" s="11">
        <f t="shared" si="5"/>
        <v>12.85</v>
      </c>
    </row>
    <row r="59" spans="1:16" s="10" customFormat="1" ht="15" x14ac:dyDescent="0.2">
      <c r="A59" s="48"/>
      <c r="K59" s="9"/>
      <c r="L59" s="9"/>
      <c r="M59" s="42"/>
      <c r="P59" s="11"/>
    </row>
    <row r="60" spans="1:16" ht="17" x14ac:dyDescent="0.25">
      <c r="A60" s="4" t="s">
        <v>49</v>
      </c>
      <c r="B60" s="4"/>
      <c r="C60" s="4"/>
      <c r="D60" s="4"/>
      <c r="E60" s="4"/>
      <c r="F60" s="4"/>
      <c r="G60" s="4"/>
      <c r="H60" s="4"/>
      <c r="I60" s="4"/>
      <c r="J60" s="4"/>
      <c r="K60" s="25" t="s">
        <v>85</v>
      </c>
      <c r="L60" s="25" t="s">
        <v>81</v>
      </c>
      <c r="M60" s="40" t="s">
        <v>82</v>
      </c>
      <c r="P60" s="11"/>
    </row>
    <row r="61" spans="1:16" s="10" customFormat="1" ht="15" x14ac:dyDescent="0.2">
      <c r="A61" s="14" t="s">
        <v>50</v>
      </c>
      <c r="B61" s="14"/>
      <c r="C61" s="14"/>
      <c r="D61" s="14"/>
      <c r="E61" s="14"/>
      <c r="F61" s="14"/>
      <c r="G61" s="14"/>
      <c r="H61" s="14">
        <v>1</v>
      </c>
      <c r="I61" s="14">
        <v>2</v>
      </c>
      <c r="J61" s="14"/>
      <c r="K61" s="9">
        <f t="shared" si="3"/>
        <v>149</v>
      </c>
      <c r="L61" s="9">
        <v>150</v>
      </c>
      <c r="M61" s="42">
        <f>IF(K61-L61&lt;=0,0,K61-L61)</f>
        <v>0</v>
      </c>
      <c r="N61" s="10">
        <v>7.4999999999999997E-2</v>
      </c>
      <c r="O61" s="10" t="s">
        <v>51</v>
      </c>
      <c r="P61" s="11">
        <f>M61*N61</f>
        <v>0</v>
      </c>
    </row>
    <row r="62" spans="1:16" s="10" customFormat="1" ht="15" x14ac:dyDescent="0.2">
      <c r="A62" s="32" t="s">
        <v>109</v>
      </c>
      <c r="B62" s="14">
        <v>1</v>
      </c>
      <c r="C62" s="14"/>
      <c r="D62" s="14"/>
      <c r="E62" s="14">
        <v>1</v>
      </c>
      <c r="F62" s="14"/>
      <c r="G62" s="14"/>
      <c r="H62" s="14"/>
      <c r="I62" s="14"/>
      <c r="J62" s="14"/>
      <c r="K62" s="9">
        <f t="shared" si="3"/>
        <v>99</v>
      </c>
      <c r="L62" s="9">
        <v>140</v>
      </c>
      <c r="M62" s="42">
        <f t="shared" ref="M62:M70" si="6">IF(K62-L62&lt;=0,0,K62-L62)</f>
        <v>0</v>
      </c>
      <c r="N62" s="10">
        <v>7.0000000000000007E-2</v>
      </c>
      <c r="O62" s="10" t="s">
        <v>110</v>
      </c>
      <c r="P62" s="11">
        <f t="shared" ref="P62:P66" si="7">M62*N62</f>
        <v>0</v>
      </c>
    </row>
    <row r="63" spans="1:16" s="10" customFormat="1" ht="15" x14ac:dyDescent="0.2">
      <c r="A63" s="14" t="s">
        <v>52</v>
      </c>
      <c r="B63" s="14"/>
      <c r="C63" s="14"/>
      <c r="D63" s="14">
        <v>2</v>
      </c>
      <c r="E63" s="14"/>
      <c r="F63" s="14"/>
      <c r="G63" s="14"/>
      <c r="H63" s="14">
        <v>2</v>
      </c>
      <c r="I63" s="14">
        <v>3</v>
      </c>
      <c r="J63" s="14"/>
      <c r="K63" s="9">
        <f t="shared" si="3"/>
        <v>347</v>
      </c>
      <c r="L63" s="9">
        <v>380</v>
      </c>
      <c r="M63" s="42">
        <f>IF(K63-L63&lt;=0,0,K63-L63)</f>
        <v>0</v>
      </c>
      <c r="N63" s="10">
        <v>7.2999999999999995E-2</v>
      </c>
      <c r="O63" s="10" t="s">
        <v>53</v>
      </c>
      <c r="P63" s="11">
        <f t="shared" si="7"/>
        <v>0</v>
      </c>
    </row>
    <row r="64" spans="1:16" s="10" customFormat="1" ht="15" x14ac:dyDescent="0.2">
      <c r="A64" s="14" t="s">
        <v>54</v>
      </c>
      <c r="B64" s="14"/>
      <c r="C64" s="14"/>
      <c r="D64" s="14"/>
      <c r="E64" s="14"/>
      <c r="F64" s="14"/>
      <c r="G64" s="14">
        <v>1</v>
      </c>
      <c r="H64" s="14"/>
      <c r="I64" s="14"/>
      <c r="J64" s="14"/>
      <c r="K64" s="9">
        <f t="shared" si="3"/>
        <v>50</v>
      </c>
      <c r="L64" s="9">
        <v>10</v>
      </c>
      <c r="M64" s="42">
        <f t="shared" si="6"/>
        <v>40</v>
      </c>
      <c r="N64" s="10">
        <v>0.15</v>
      </c>
      <c r="O64" s="10" t="s">
        <v>55</v>
      </c>
      <c r="P64" s="11">
        <f t="shared" si="7"/>
        <v>6</v>
      </c>
    </row>
    <row r="65" spans="1:17" s="10" customFormat="1" ht="15" x14ac:dyDescent="0.2">
      <c r="A65" s="14" t="s">
        <v>56</v>
      </c>
      <c r="B65" s="14"/>
      <c r="C65" s="14"/>
      <c r="D65" s="14"/>
      <c r="E65" s="14"/>
      <c r="F65" s="14"/>
      <c r="G65" s="14">
        <v>1</v>
      </c>
      <c r="H65" s="14">
        <v>2</v>
      </c>
      <c r="I65" s="14">
        <v>1</v>
      </c>
      <c r="J65" s="14"/>
      <c r="K65" s="9">
        <f t="shared" si="3"/>
        <v>198</v>
      </c>
      <c r="L65" s="9">
        <v>170</v>
      </c>
      <c r="M65" s="42">
        <f t="shared" si="6"/>
        <v>28</v>
      </c>
      <c r="N65" s="10">
        <v>7.3999999999999996E-2</v>
      </c>
      <c r="O65" s="10" t="s">
        <v>57</v>
      </c>
      <c r="P65" s="11">
        <f t="shared" si="7"/>
        <v>2.0720000000000001</v>
      </c>
    </row>
    <row r="66" spans="1:17" ht="15" x14ac:dyDescent="0.2">
      <c r="A66" s="32" t="s">
        <v>97</v>
      </c>
      <c r="B66" s="32">
        <v>1</v>
      </c>
      <c r="C66" s="32"/>
      <c r="D66" s="32"/>
      <c r="E66" s="32"/>
      <c r="F66" s="32"/>
      <c r="G66" s="32"/>
      <c r="H66" s="32"/>
      <c r="I66" s="32"/>
      <c r="J66" s="32"/>
      <c r="K66" s="31">
        <f t="shared" ref="K66:K70" si="8">ROUNDUP(  SUM(B66:I66)*$B$3*1.1,0)</f>
        <v>50</v>
      </c>
      <c r="L66" s="9">
        <v>0</v>
      </c>
      <c r="M66" s="43">
        <f t="shared" si="6"/>
        <v>50</v>
      </c>
      <c r="N66" s="32">
        <v>0.23</v>
      </c>
      <c r="O66" s="32" t="s">
        <v>96</v>
      </c>
      <c r="P66" s="11">
        <f t="shared" si="7"/>
        <v>11.5</v>
      </c>
    </row>
    <row r="67" spans="1:17" ht="15" x14ac:dyDescent="0.2">
      <c r="A67" s="48" t="s">
        <v>103</v>
      </c>
      <c r="B67" s="32"/>
      <c r="C67" s="32"/>
      <c r="D67" s="32"/>
      <c r="E67" s="32"/>
      <c r="F67" s="32"/>
      <c r="G67" s="32"/>
      <c r="H67" s="32"/>
      <c r="I67" s="33">
        <v>4</v>
      </c>
      <c r="J67" s="32"/>
      <c r="K67" s="31">
        <f t="shared" si="8"/>
        <v>198</v>
      </c>
      <c r="L67" s="9">
        <v>0</v>
      </c>
      <c r="M67" s="43">
        <f t="shared" si="6"/>
        <v>198</v>
      </c>
      <c r="N67" s="32">
        <v>0.158</v>
      </c>
      <c r="O67" s="32" t="s">
        <v>111</v>
      </c>
      <c r="P67" s="11"/>
    </row>
    <row r="68" spans="1:17" ht="17" x14ac:dyDescent="0.25">
      <c r="A68" s="47"/>
      <c r="B68" s="32"/>
      <c r="C68" s="32"/>
      <c r="D68" s="32"/>
      <c r="E68" s="32"/>
      <c r="F68" s="32"/>
      <c r="G68" s="32"/>
      <c r="H68" s="32"/>
      <c r="I68" s="33"/>
      <c r="J68" s="32"/>
      <c r="K68" s="31"/>
      <c r="L68" s="9"/>
      <c r="M68" s="43"/>
      <c r="N68" s="32"/>
      <c r="O68" s="32"/>
      <c r="P68" s="11"/>
    </row>
    <row r="69" spans="1:17" ht="17" x14ac:dyDescent="0.25">
      <c r="A69" s="4" t="s">
        <v>100</v>
      </c>
      <c r="K69" s="31"/>
      <c r="L69" s="9"/>
      <c r="M69" s="43"/>
      <c r="P69" s="11"/>
    </row>
    <row r="70" spans="1:17" ht="15" x14ac:dyDescent="0.2">
      <c r="A70" s="49" t="s">
        <v>101</v>
      </c>
      <c r="B70">
        <v>1</v>
      </c>
      <c r="K70" s="31">
        <f t="shared" si="8"/>
        <v>50</v>
      </c>
      <c r="L70" s="9">
        <v>50</v>
      </c>
      <c r="M70" s="43">
        <f t="shared" si="6"/>
        <v>0</v>
      </c>
      <c r="O70" s="32" t="s">
        <v>102</v>
      </c>
      <c r="P70" s="11"/>
    </row>
    <row r="71" spans="1:17" ht="17" x14ac:dyDescent="0.25">
      <c r="A71" s="46"/>
      <c r="K71" s="31"/>
      <c r="L71" s="9"/>
      <c r="O71" s="32"/>
      <c r="P71" s="11"/>
    </row>
    <row r="72" spans="1:17" ht="17" x14ac:dyDescent="0.25">
      <c r="A72" s="4" t="s">
        <v>58</v>
      </c>
      <c r="B72" s="4"/>
      <c r="C72" s="4"/>
      <c r="D72" s="4"/>
      <c r="E72" s="4"/>
      <c r="F72" s="4"/>
      <c r="G72" s="4"/>
      <c r="H72" s="4"/>
      <c r="I72" s="4"/>
      <c r="J72" s="4"/>
      <c r="L72" s="9"/>
      <c r="P72" s="11"/>
    </row>
    <row r="73" spans="1:17" s="10" customFormat="1" ht="17" x14ac:dyDescent="0.25">
      <c r="A73" s="14" t="s">
        <v>120</v>
      </c>
      <c r="B73" s="14"/>
      <c r="C73" s="14"/>
      <c r="D73" s="14"/>
      <c r="E73" s="14"/>
      <c r="F73" s="14"/>
      <c r="G73" s="14"/>
      <c r="H73" s="14"/>
      <c r="I73" s="14"/>
      <c r="J73" s="14"/>
      <c r="K73" s="9">
        <f>ROUNDUP(($B$3*1.1),0)</f>
        <v>50</v>
      </c>
      <c r="L73" s="9">
        <v>40</v>
      </c>
      <c r="M73" s="42">
        <f>ROUNDUP((IF(K73-L73&lt;=0,0,K73-L73)/50),0)</f>
        <v>1</v>
      </c>
      <c r="N73" s="10">
        <v>25.99</v>
      </c>
      <c r="O73" s="10" t="s">
        <v>59</v>
      </c>
      <c r="P73" s="50">
        <f>M73*N73</f>
        <v>25.99</v>
      </c>
      <c r="Q73" s="30" t="s">
        <v>91</v>
      </c>
    </row>
    <row r="74" spans="1:17" ht="16" x14ac:dyDescent="0.2">
      <c r="A74" s="37" t="s">
        <v>119</v>
      </c>
      <c r="L74" s="9"/>
      <c r="P74" s="51"/>
    </row>
    <row r="75" spans="1:17" ht="16" x14ac:dyDescent="0.2">
      <c r="L75" s="9"/>
      <c r="P75" s="51"/>
    </row>
    <row r="76" spans="1:17" s="10" customFormat="1" ht="17" x14ac:dyDescent="0.25">
      <c r="A76" s="10" t="s">
        <v>89</v>
      </c>
      <c r="K76" s="9">
        <f>ROUNDUP(($B$3*4*1.1),0)</f>
        <v>198</v>
      </c>
      <c r="L76" s="9">
        <v>102</v>
      </c>
      <c r="M76" s="42">
        <f>ROUNDUP(((K76-L76)/12),0)</f>
        <v>8</v>
      </c>
      <c r="N76" s="10">
        <v>3.95</v>
      </c>
      <c r="O76" s="10" t="s">
        <v>86</v>
      </c>
      <c r="P76" s="52">
        <f>M76*N76</f>
        <v>31.6</v>
      </c>
      <c r="Q76" s="30" t="s">
        <v>92</v>
      </c>
    </row>
    <row r="77" spans="1:17" ht="16" x14ac:dyDescent="0.2">
      <c r="A77" t="s">
        <v>60</v>
      </c>
      <c r="K77" s="9"/>
      <c r="L77" s="9"/>
      <c r="P77" s="51"/>
    </row>
    <row r="78" spans="1:17" ht="16" x14ac:dyDescent="0.2">
      <c r="K78" s="9"/>
      <c r="L78" s="9"/>
      <c r="P78" s="51"/>
    </row>
    <row r="79" spans="1:17" ht="16" x14ac:dyDescent="0.2">
      <c r="A79" s="23" t="s">
        <v>88</v>
      </c>
      <c r="B79" s="15"/>
      <c r="C79" s="15"/>
      <c r="D79" s="15"/>
      <c r="E79" s="15"/>
      <c r="F79" s="15"/>
      <c r="G79" s="15"/>
      <c r="H79" s="15"/>
      <c r="I79" s="15"/>
      <c r="J79" s="15"/>
      <c r="L79" s="9"/>
      <c r="P79" s="51"/>
    </row>
    <row r="80" spans="1:17" s="10" customFormat="1" ht="17" x14ac:dyDescent="0.25">
      <c r="A80" s="10" t="s">
        <v>61</v>
      </c>
      <c r="K80" s="16">
        <v>1</v>
      </c>
      <c r="L80" s="9">
        <v>0</v>
      </c>
      <c r="M80" s="44">
        <v>1</v>
      </c>
      <c r="N80" s="10">
        <v>58.57</v>
      </c>
      <c r="O80" s="10" t="s">
        <v>62</v>
      </c>
      <c r="P80" s="52">
        <f>M80*N80</f>
        <v>58.57</v>
      </c>
    </row>
    <row r="81" spans="1:16" s="10" customFormat="1" ht="17" x14ac:dyDescent="0.25">
      <c r="A81" s="10" t="s">
        <v>63</v>
      </c>
      <c r="F81" s="10">
        <v>1</v>
      </c>
      <c r="K81" s="16">
        <f>$B$3</f>
        <v>45</v>
      </c>
      <c r="L81" s="9">
        <v>100</v>
      </c>
      <c r="M81" s="44">
        <f>IF((K81-L81&lt;=0),0,K81-L81)</f>
        <v>0</v>
      </c>
      <c r="N81" s="10">
        <v>0.68</v>
      </c>
      <c r="O81" s="10" t="s">
        <v>64</v>
      </c>
      <c r="P81" s="52">
        <f>M81*N81</f>
        <v>0</v>
      </c>
    </row>
    <row r="82" spans="1:16" s="10" customFormat="1" ht="17" x14ac:dyDescent="0.25">
      <c r="K82" s="16"/>
      <c r="L82" s="9"/>
      <c r="M82" s="44"/>
      <c r="P82" s="52"/>
    </row>
    <row r="83" spans="1:16" s="36" customFormat="1" ht="17" x14ac:dyDescent="0.25">
      <c r="A83" s="34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5"/>
      <c r="L83" s="9"/>
      <c r="M83" s="45"/>
      <c r="P83" s="53"/>
    </row>
    <row r="84" spans="1:16" ht="17" x14ac:dyDescent="0.25">
      <c r="A84" s="17" t="s">
        <v>65</v>
      </c>
      <c r="B84" s="17"/>
      <c r="C84" s="17"/>
      <c r="D84" s="17"/>
      <c r="E84" s="17"/>
      <c r="F84" s="17"/>
      <c r="G84" s="17"/>
      <c r="H84" s="17"/>
      <c r="I84" s="17"/>
      <c r="J84" s="17"/>
      <c r="L84" s="9"/>
      <c r="P84" s="54"/>
    </row>
    <row r="85" spans="1:16" s="10" customFormat="1" ht="17" x14ac:dyDescent="0.25">
      <c r="A85" s="14" t="s">
        <v>66</v>
      </c>
      <c r="B85" s="14"/>
      <c r="C85" s="14"/>
      <c r="D85" s="14"/>
      <c r="E85" s="14"/>
      <c r="F85" s="14"/>
      <c r="G85" s="14"/>
      <c r="H85" s="14"/>
      <c r="I85" s="14"/>
      <c r="J85" s="14"/>
      <c r="K85" s="9">
        <f>$B$3</f>
        <v>45</v>
      </c>
      <c r="L85" s="9">
        <v>4</v>
      </c>
      <c r="M85" s="42">
        <f>K85-L85</f>
        <v>41</v>
      </c>
      <c r="N85" s="10">
        <v>2.69</v>
      </c>
      <c r="P85" s="52">
        <f>M85*N85</f>
        <v>110.28999999999999</v>
      </c>
    </row>
    <row r="86" spans="1:16" ht="17" x14ac:dyDescent="0.25">
      <c r="O86" s="18" t="s">
        <v>67</v>
      </c>
      <c r="P86" s="52">
        <f>SUM(P10:P82)</f>
        <v>360.19400000000002</v>
      </c>
    </row>
    <row r="88" spans="1:16" x14ac:dyDescent="0.15">
      <c r="A88" t="s">
        <v>115</v>
      </c>
    </row>
    <row r="89" spans="1:16" x14ac:dyDescent="0.15">
      <c r="A89" t="s">
        <v>114</v>
      </c>
    </row>
    <row r="90" spans="1:16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</row>
  </sheetData>
  <phoneticPr fontId="14" type="noConversion"/>
  <hyperlinks>
    <hyperlink ref="A74" r:id="rId1" xr:uid="{5206CBB5-272A-FE47-9411-150AEC793737}"/>
  </hyperlinks>
  <printOptions headings="1" gridLines="1"/>
  <pageMargins left="0.2" right="0.2" top="0.5" bottom="0.5" header="0.1" footer="0.1"/>
  <pageSetup scale="50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roger traylor</cp:lastModifiedBy>
  <cp:revision>5</cp:revision>
  <cp:lastPrinted>2023-12-13T00:01:14Z</cp:lastPrinted>
  <dcterms:created xsi:type="dcterms:W3CDTF">2021-09-13T15:23:27Z</dcterms:created>
  <dcterms:modified xsi:type="dcterms:W3CDTF">2023-12-15T22:28:46Z</dcterms:modified>
  <dc:language>en-US</dc:language>
</cp:coreProperties>
</file>